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mlin.OD\Desktop\"/>
    </mc:Choice>
  </mc:AlternateContent>
  <xr:revisionPtr revIDLastSave="0" documentId="8_{75F87F59-3440-4796-B1E5-B645C1DEA50B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Ekonomisk sammanställning" sheetId="1" r:id="rId1"/>
  </sheets>
  <definedNames>
    <definedName name="OLE_LINK1" localSheetId="0">'Ekonomisk sammanställning'!$B$24</definedName>
    <definedName name="_xlnm.Print_Area" localSheetId="0">'Ekonomisk sammanställning'!$B$1:$L$53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32" i="1" l="1"/>
  <c r="I28" i="1"/>
  <c r="H28" i="1"/>
  <c r="H16" i="1"/>
  <c r="H8" i="1"/>
  <c r="G16" i="1"/>
  <c r="J5" i="1" l="1"/>
  <c r="K5" i="1"/>
  <c r="L5" i="1"/>
  <c r="I5" i="1"/>
  <c r="F34" i="1"/>
  <c r="G34" i="1"/>
  <c r="G64" i="1"/>
  <c r="C13" i="1"/>
  <c r="C11" i="1"/>
  <c r="M49" i="1"/>
  <c r="H6" i="1"/>
  <c r="I6" i="1"/>
  <c r="J6" i="1"/>
  <c r="K6" i="1"/>
  <c r="L6" i="1"/>
  <c r="G5" i="1"/>
  <c r="H5" i="1"/>
  <c r="G14" i="1"/>
  <c r="G11" i="1"/>
  <c r="G54" i="1"/>
  <c r="F54" i="1" l="1"/>
  <c r="F27" i="1"/>
  <c r="F14" i="1"/>
  <c r="F11" i="1"/>
  <c r="E54" i="1"/>
  <c r="C29" i="1"/>
  <c r="C46" i="1" s="1"/>
  <c r="E27" i="1"/>
  <c r="D18" i="1"/>
  <c r="C18" i="1"/>
  <c r="E14" i="1"/>
  <c r="E11" i="1"/>
  <c r="E16" i="1" s="1"/>
  <c r="D54" i="1"/>
  <c r="C54" i="1"/>
  <c r="C14" i="1"/>
  <c r="I16" i="1"/>
  <c r="J16" i="1"/>
  <c r="K16" i="1"/>
  <c r="L16" i="1"/>
  <c r="I8" i="1"/>
  <c r="J8" i="1"/>
  <c r="K8" i="1"/>
  <c r="L8" i="1"/>
  <c r="I37" i="1"/>
  <c r="J37" i="1"/>
  <c r="K37" i="1"/>
  <c r="L37" i="1"/>
  <c r="H37" i="1"/>
  <c r="H31" i="1"/>
  <c r="H34" i="1" s="1"/>
  <c r="I31" i="1" s="1"/>
  <c r="I34" i="1" s="1"/>
  <c r="F8" i="1"/>
  <c r="G6" i="1"/>
  <c r="H39" i="1" l="1"/>
  <c r="I36" i="1" s="1"/>
  <c r="I39" i="1" s="1"/>
  <c r="J36" i="1" s="1"/>
  <c r="J39" i="1" s="1"/>
  <c r="K36" i="1" s="1"/>
  <c r="K39" i="1" s="1"/>
  <c r="K18" i="1"/>
  <c r="K19" i="1" s="1"/>
  <c r="K27" i="1" s="1"/>
  <c r="I18" i="1"/>
  <c r="I19" i="1" s="1"/>
  <c r="I27" i="1" s="1"/>
  <c r="L18" i="1"/>
  <c r="L19" i="1" s="1"/>
  <c r="L27" i="1" s="1"/>
  <c r="J18" i="1"/>
  <c r="J19" i="1" s="1"/>
  <c r="J27" i="1" s="1"/>
  <c r="F16" i="1"/>
  <c r="F18" i="1" s="1"/>
  <c r="D26" i="1"/>
  <c r="D29" i="1" s="1"/>
  <c r="G8" i="1"/>
  <c r="G18" i="1" l="1"/>
  <c r="L36" i="1"/>
  <c r="L39" i="1" s="1"/>
  <c r="D46" i="1"/>
  <c r="E26" i="1"/>
  <c r="E29" i="1" s="1"/>
  <c r="F26" i="1" l="1"/>
  <c r="F29" i="1" s="1"/>
  <c r="F46" i="1" s="1"/>
  <c r="E46" i="1"/>
  <c r="G26" i="1" l="1"/>
  <c r="G29" i="1" s="1"/>
  <c r="G46" i="1" s="1"/>
  <c r="E8" i="1" l="1"/>
  <c r="E18" i="1" s="1"/>
  <c r="D14" i="1" l="1"/>
  <c r="D11" i="1"/>
  <c r="H18" i="1" l="1"/>
  <c r="H19" i="1" s="1"/>
  <c r="H27" i="1" s="1"/>
  <c r="H29" i="1" s="1"/>
  <c r="H46" i="1" l="1"/>
  <c r="I26" i="1"/>
  <c r="I29" i="1" s="1"/>
  <c r="I46" i="1" s="1"/>
  <c r="J26" i="1" l="1"/>
  <c r="J29" i="1" s="1"/>
  <c r="J46" i="1" s="1"/>
  <c r="K26" i="1" l="1"/>
  <c r="K29" i="1" s="1"/>
  <c r="K46" i="1" s="1"/>
  <c r="L26" i="1" l="1"/>
  <c r="L29" i="1" s="1"/>
  <c r="L46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Camilla Lindskog</author>
  </authors>
  <commentList>
    <comment ref="C53" authorId="0" shapeId="0" xr:uid="{39800E34-905D-40DD-97FD-B9AFF0FE16E4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76 408 kr, varför är resultatet endast 41 474 (39 974 +1500)?
Diffen på 34 934 kr förklaras av att vi:
Ökat skuld Davids Entr 25 562 kr
har ej utbetalda arvoden vid årets slut 12 560 kr
Ökat upplupna intäkter -5 040 kr
Skuld till medlemmar 1 852 kr
</t>
        </r>
      </text>
    </comment>
    <comment ref="D53" authorId="0" shapeId="0" xr:uid="{DC41683A-CC36-4DAB-A521-AF96F0E74B8C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150 417 kr, varför är resultatet endast 84 333 kr (82 833+1500)?
Diffen på 66 084 kr förklaras av att vi:
Ökat skuld Davids Entr 70 956 kr
förändring av skuld till Mälby vägförening -2 900 kr, eftersom vi tidigare avsatt 12 560 kr och nu vet vi att den endast kommer uppgå till 9 660 kr... Intäkt!!!
Ökat upplupna intäkter -1 440 k
skuld till medlemmar har minskat med -532 kr</t>
        </r>
      </text>
    </comment>
    <comment ref="E53" authorId="0" shapeId="0" xr:uid="{F58888CC-DA79-4794-A703-D9850ED415FF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141 078 kr, varför är resultatet endast 97 136 kr (95 636+1500)?
Diffen på 43 942 kr förklaras av att vi:
Ökat skuld Davids Entr 55 432 kr
minskning av skuld till Mälby vägförening -9 660 kr
Minskat upplupna intäkter 480 kr
skuld till medlemmar har minskat med -2 310 kr</t>
        </r>
      </text>
    </comment>
    <comment ref="F53" authorId="0" shapeId="0" xr:uid="{FB509D38-DC0F-4133-836D-D18DC3AF7742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-36 464 kr, varför är resultatet positivt för året dvs 130 225 kr (128 725+1500)?
Diffen på 166 689 kr förklaras av att vi:
Minskat skuld till Davids Entr och endast behållt skuld till Mälby -185 844 kr
ökat upplupna kostnader med -10 125 kr
Minskat upplupna intäkter 5 280 kr
skuld till medlemmar har ökat med 3 750 kr</t>
        </r>
      </text>
    </comment>
    <comment ref="G53" authorId="0" shapeId="0" xr:uid="{C33A5E0D-503E-4E85-92C8-7CD72A2BBB30}">
      <text>
        <r>
          <rPr>
            <b/>
            <sz val="9"/>
            <color indexed="81"/>
            <rFont val="Tahoma"/>
            <family val="2"/>
          </rPr>
          <t>Camilla Lindskog:</t>
        </r>
        <r>
          <rPr>
            <sz val="9"/>
            <color indexed="81"/>
            <rFont val="Tahoma"/>
            <family val="2"/>
          </rPr>
          <t xml:space="preserve">
Skillnad mellan IB och UB -159 773 kr, varför är resultatet positivt för året dvs 46 969,56 kr (45 469,56+1500)?
Diffen på 206 742,56 kr förklaras av att vi:
minskat upplupna kostnader med -5 375 kr
Minskat upplupna intäkter 2 400 kr
skuld till medlemmar har minskat med -3 600 kr
Minskat fond med -211 668 kr pga asfaltering
Mälby väg 11 500 kr</t>
        </r>
      </text>
    </comment>
  </commentList>
</comments>
</file>

<file path=xl/sharedStrings.xml><?xml version="1.0" encoding="utf-8"?>
<sst xmlns="http://schemas.openxmlformats.org/spreadsheetml/2006/main" count="70" uniqueCount="63">
  <si>
    <t>Intäkter:</t>
  </si>
  <si>
    <t>Kostnader:</t>
  </si>
  <si>
    <t>Administration</t>
  </si>
  <si>
    <t>Mälbyvägen</t>
  </si>
  <si>
    <t>Investeringsfond:</t>
  </si>
  <si>
    <t xml:space="preserve">Inkomst kapital                     </t>
  </si>
  <si>
    <t>Övriga intäkter</t>
  </si>
  <si>
    <t xml:space="preserve">Period ut                             </t>
  </si>
  <si>
    <t>Summa intäkter</t>
  </si>
  <si>
    <t>Summa kostnader</t>
  </si>
  <si>
    <t>Utfall 2015</t>
  </si>
  <si>
    <t>Utfall 2016</t>
  </si>
  <si>
    <t>Utfall 2017</t>
  </si>
  <si>
    <t>Utfall 2018</t>
  </si>
  <si>
    <t>Utfall 2019</t>
  </si>
  <si>
    <t>Budget 2020</t>
  </si>
  <si>
    <t>Budget 2021</t>
  </si>
  <si>
    <t>Budget 2022</t>
  </si>
  <si>
    <t>Budget 2023</t>
  </si>
  <si>
    <t>Budget 2024</t>
  </si>
  <si>
    <t>Vägavgifter från medlemmarna</t>
  </si>
  <si>
    <t xml:space="preserve">Driftsbidrag </t>
  </si>
  <si>
    <t>Stadsbidrag enskilda vägar från Trafikverket (6503,69 kr) samt vägbidgrag från kommunen (3 252 kr)</t>
  </si>
  <si>
    <t>Ränta från bankkontot på Lantmännen Finans</t>
  </si>
  <si>
    <t>Sommarunderhåll</t>
  </si>
  <si>
    <t>Reservering för vägandel till Mälby</t>
  </si>
  <si>
    <t>Inköp skyltar och farthinder</t>
  </si>
  <si>
    <t>Generell fond ingående</t>
  </si>
  <si>
    <t>Period ut</t>
  </si>
  <si>
    <t>Totalt värde fond vid årets slut</t>
  </si>
  <si>
    <t>Värde fond vid årets slut</t>
  </si>
  <si>
    <t>Fond asfaltering Traststigen/Ugglestigen</t>
  </si>
  <si>
    <t>Period in</t>
  </si>
  <si>
    <t>Fond Mälbyvägen, förslag årsmöte 2020</t>
  </si>
  <si>
    <t>Fond Tjädervägen 56-60, förslag årsmöte 2020</t>
  </si>
  <si>
    <t>Föreningens totala tillgångar vid årets slut</t>
  </si>
  <si>
    <t>Föreningens totala tillgångar vid årets början</t>
  </si>
  <si>
    <t>Årets resultat</t>
  </si>
  <si>
    <t>Resultat innan avsättning till fond:</t>
  </si>
  <si>
    <t>Resultat efter fondering</t>
  </si>
  <si>
    <t xml:space="preserve">Period in*                                       </t>
  </si>
  <si>
    <r>
      <t xml:space="preserve">Påminnelseavgifter à 200 kr på för sent betalda vägandelar, en person som betalat in 8 kr för mycket, en person som betalat in 240 kr för mycket och som nu flyttat. </t>
    </r>
    <r>
      <rPr>
        <b/>
        <sz val="11"/>
        <color theme="1"/>
        <rFont val="Calibri"/>
        <family val="2"/>
        <scheme val="minor"/>
      </rPr>
      <t>2020:</t>
    </r>
    <r>
      <rPr>
        <sz val="11"/>
        <color theme="1"/>
        <rFont val="Calibri"/>
        <family val="2"/>
        <scheme val="minor"/>
      </rPr>
      <t xml:space="preserve"> Vi budgeterar inte med att folk ska betala för sent.</t>
    </r>
  </si>
  <si>
    <t>Avgift Plusgirot, arvoden till styrelsen, Medlemsavgfit i Riksförbundet Enskilda vägar, officepaket till sekreteraren, frimärken, kuvert, papper, avgift bokföringsprogram, toner, fika vid styrelsemöten</t>
  </si>
  <si>
    <t>Styrelsens förslag vid årsmöte 2020 är att fondera mellanskillnaden mellan 57 500 kr och 11 500 kr per år för framtida asfaltering</t>
  </si>
  <si>
    <t>Sandning och snöröjning</t>
  </si>
  <si>
    <t>2019: Dessa pengar finns placerade på Plusgirot konto samt Lantmännen Finans bankkonto</t>
  </si>
  <si>
    <t>Skuld till Mälbys vägförening avs 2018 o 2019</t>
  </si>
  <si>
    <t>Skuld till styrelsemedlem 31/12 då arvode ej gått att betala ut pga avslutat bankkonto</t>
  </si>
  <si>
    <t>Eget kapital som avser tidigare års resultat</t>
  </si>
  <si>
    <t>Generell fond</t>
  </si>
  <si>
    <t>Skuld till medlem i vägföreningen pga dubbel inbetalning 2019 vilket dras av på fakturan 2020</t>
  </si>
  <si>
    <t>Kommentarer:</t>
  </si>
  <si>
    <t>Specifikation över föreningens totala tillgångar vid årets slut 20191231:</t>
  </si>
  <si>
    <t xml:space="preserve">varav Fondering*               </t>
  </si>
  <si>
    <t>Vinterunderhåll</t>
  </si>
  <si>
    <t>Sopning, uppsättning o borttag av snökäppar, utställande/borttag av skyltar o farthinder, sladdning, saltning, sandning, sågning av buskar o grenar.</t>
  </si>
  <si>
    <t>Fond asfaltering Traststigen/Ugglestigen/Järpvägen</t>
  </si>
  <si>
    <t>Skyltar och farthinder</t>
  </si>
  <si>
    <r>
      <rPr>
        <b/>
        <sz val="11"/>
        <color theme="1"/>
        <rFont val="Calibri"/>
        <family val="2"/>
        <scheme val="minor"/>
      </rPr>
      <t>2019:</t>
    </r>
    <r>
      <rPr>
        <sz val="11"/>
        <color theme="1"/>
        <rFont val="Calibri"/>
        <family val="2"/>
        <scheme val="minor"/>
      </rPr>
      <t xml:space="preserve"> 141 fritidsboende 840 kr, 99 fast boende 1 200 kr, 2 näringsidkare 2 400 kr. En fast boende har ej betalat, därför saknas 1 200 kr. </t>
    </r>
    <r>
      <rPr>
        <b/>
        <sz val="11"/>
        <color theme="1"/>
        <rFont val="Calibri"/>
        <family val="2"/>
        <scheme val="minor"/>
      </rPr>
      <t>2020:</t>
    </r>
    <r>
      <rPr>
        <sz val="11"/>
        <color theme="1"/>
        <rFont val="Calibri"/>
        <family val="2"/>
        <scheme val="minor"/>
      </rPr>
      <t xml:space="preserve"> 140 fritidsboende, 100 fast boende, 2 näringsidkare. 2021 planeras höjning, fast 1 500 kr, fritidsboende 1 050 kr och näringsidkare 3 000 kr.</t>
    </r>
  </si>
  <si>
    <r>
      <rPr>
        <b/>
        <sz val="11"/>
        <color theme="1"/>
        <rFont val="Calibri"/>
        <family val="2"/>
        <scheme val="minor"/>
      </rPr>
      <t>2019:</t>
    </r>
    <r>
      <rPr>
        <sz val="11"/>
        <color theme="1"/>
        <rFont val="Calibri"/>
        <family val="2"/>
        <scheme val="minor"/>
      </rPr>
      <t xml:space="preserve"> Asfalteringen av Trastigen/Ugglestigen har kostat 211 668 kr. 2020: Asfaltering av stödkanter kvarstår, vilket beräknas till ca 30 000 kr. 2021: Asfaltering av Järpvägen beräknas uppgå till 350 000 kr.</t>
    </r>
  </si>
  <si>
    <t>På årsstämman 20180624 togs beslut om att öronmärka 400 000 kr för asfaltering av Traststigen/Ugglestigen/Järpvägen</t>
  </si>
  <si>
    <t xml:space="preserve">Budgeterar ej någon utbetalning avs asfaltering ännu då vi inte vet vad detta kommer att kosta för Ängsholmens vägförening. </t>
  </si>
  <si>
    <t>Ekonomisk sammanställning 2015-2019 samt förslag till utgifts- och inkomststat (Budget) för år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</si>
</sst>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u/>
      <sz val="12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b/>
      <u/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 applyAlignment="1">
      <alignment horizontal="left" vertical="center" indent="5"/>
    </xf>
    <xf numFmtId="3" fontId="0" fillId="0" borderId="0" xfId="0" applyNumberFormat="1"/>
    <xf numFmtId="3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 vertical="center"/>
    </xf>
    <xf numFmtId="3" fontId="4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vertical="center"/>
    </xf>
    <xf numFmtId="3" fontId="6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 indent="5"/>
    </xf>
    <xf numFmtId="0" fontId="0" fillId="0" borderId="1" xfId="0" applyBorder="1"/>
    <xf numFmtId="0" fontId="1" fillId="0" borderId="1" xfId="0" applyFont="1" applyBorder="1" applyAlignment="1">
      <alignment horizontal="left" vertical="center" indent="5"/>
    </xf>
    <xf numFmtId="3" fontId="0" fillId="0" borderId="1" xfId="0" applyNumberFormat="1" applyBorder="1"/>
    <xf numFmtId="0" fontId="4" fillId="0" borderId="1" xfId="0" applyFont="1" applyBorder="1" applyAlignment="1">
      <alignment vertical="center"/>
    </xf>
    <xf numFmtId="0" fontId="4" fillId="0" borderId="1" xfId="0" applyFont="1" applyBorder="1"/>
    <xf numFmtId="3" fontId="6" fillId="0" borderId="1" xfId="0" applyNumberFormat="1" applyFont="1" applyBorder="1" applyAlignment="1">
      <alignment horizontal="right"/>
    </xf>
    <xf numFmtId="0" fontId="0" fillId="0" borderId="0" xfId="0" applyFill="1"/>
    <xf numFmtId="3" fontId="8" fillId="0" borderId="0" xfId="0" applyNumberFormat="1" applyFont="1"/>
    <xf numFmtId="3" fontId="4" fillId="0" borderId="1" xfId="0" quotePrefix="1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left" vertical="center" indent="5"/>
    </xf>
    <xf numFmtId="3" fontId="10" fillId="0" borderId="1" xfId="0" applyNumberFormat="1" applyFont="1" applyBorder="1" applyAlignment="1">
      <alignment horizontal="right" vertical="center"/>
    </xf>
    <xf numFmtId="0" fontId="8" fillId="0" borderId="0" xfId="0" applyFont="1"/>
    <xf numFmtId="0" fontId="3" fillId="0" borderId="1" xfId="0" applyFont="1" applyBorder="1"/>
    <xf numFmtId="3" fontId="10" fillId="0" borderId="0" xfId="0" applyNumberFormat="1" applyFont="1" applyFill="1" applyBorder="1" applyAlignment="1">
      <alignment horizontal="right" vertical="center"/>
    </xf>
    <xf numFmtId="3" fontId="9" fillId="0" borderId="1" xfId="0" applyNumberFormat="1" applyFont="1" applyBorder="1" applyAlignment="1">
      <alignment horizontal="right" vertical="center"/>
    </xf>
    <xf numFmtId="0" fontId="9" fillId="0" borderId="0" xfId="0" applyFont="1" applyFill="1" applyBorder="1" applyAlignment="1">
      <alignment horizontal="left" vertical="center" indent="5"/>
    </xf>
    <xf numFmtId="3" fontId="8" fillId="0" borderId="0" xfId="0" applyNumberFormat="1" applyFont="1" applyFill="1"/>
    <xf numFmtId="0" fontId="8" fillId="0" borderId="0" xfId="0" applyFont="1" applyFill="1"/>
    <xf numFmtId="0" fontId="1" fillId="0" borderId="0" xfId="0" applyFont="1" applyFill="1" applyAlignment="1">
      <alignment horizontal="left" vertical="center" indent="5"/>
    </xf>
    <xf numFmtId="0" fontId="3" fillId="0" borderId="0" xfId="0" applyFont="1" applyFill="1"/>
    <xf numFmtId="3" fontId="0" fillId="0" borderId="0" xfId="0" applyNumberFormat="1" applyFill="1"/>
    <xf numFmtId="3" fontId="3" fillId="0" borderId="0" xfId="0" applyNumberFormat="1" applyFont="1" applyFill="1"/>
    <xf numFmtId="3" fontId="2" fillId="0" borderId="0" xfId="0" applyNumberFormat="1" applyFont="1" applyFill="1"/>
    <xf numFmtId="3" fontId="0" fillId="0" borderId="0" xfId="0" applyNumberFormat="1" applyFont="1"/>
    <xf numFmtId="0" fontId="0" fillId="0" borderId="0" xfId="0" applyFont="1"/>
    <xf numFmtId="0" fontId="10" fillId="0" borderId="1" xfId="0" applyFont="1" applyBorder="1" applyAlignment="1">
      <alignment horizontal="left" vertical="center" indent="5"/>
    </xf>
    <xf numFmtId="0" fontId="10" fillId="0" borderId="1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right"/>
    </xf>
    <xf numFmtId="0" fontId="8" fillId="0" borderId="1" xfId="0" applyFont="1" applyBorder="1"/>
    <xf numFmtId="3" fontId="9" fillId="0" borderId="1" xfId="0" applyNumberFormat="1" applyFont="1" applyFill="1" applyBorder="1" applyAlignment="1">
      <alignment horizontal="right"/>
    </xf>
    <xf numFmtId="3" fontId="4" fillId="0" borderId="1" xfId="0" applyNumberFormat="1" applyFont="1" applyFill="1" applyBorder="1" applyAlignment="1">
      <alignment horizontal="right" vertical="center"/>
    </xf>
    <xf numFmtId="3" fontId="4" fillId="0" borderId="1" xfId="0" applyNumberFormat="1" applyFont="1" applyFill="1" applyBorder="1" applyAlignment="1">
      <alignment horizontal="right"/>
    </xf>
    <xf numFmtId="0" fontId="4" fillId="0" borderId="1" xfId="0" applyFont="1" applyFill="1" applyBorder="1"/>
    <xf numFmtId="3" fontId="6" fillId="0" borderId="1" xfId="0" applyNumberFormat="1" applyFont="1" applyFill="1" applyBorder="1" applyAlignment="1">
      <alignment horizontal="right" vertical="center"/>
    </xf>
    <xf numFmtId="0" fontId="9" fillId="0" borderId="1" xfId="0" applyFont="1" applyFill="1" applyBorder="1" applyAlignment="1">
      <alignment horizontal="left" vertical="center" indent="5"/>
    </xf>
    <xf numFmtId="3" fontId="9" fillId="0" borderId="1" xfId="0" applyNumberFormat="1" applyFont="1" applyFill="1" applyBorder="1" applyAlignment="1">
      <alignment horizontal="right" vertical="center"/>
    </xf>
    <xf numFmtId="3" fontId="10" fillId="0" borderId="1" xfId="0" applyNumberFormat="1" applyFont="1" applyFill="1" applyBorder="1" applyAlignment="1">
      <alignment horizontal="right" vertical="center"/>
    </xf>
    <xf numFmtId="3" fontId="4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3" fillId="0" borderId="0" xfId="0" applyFont="1"/>
    <xf numFmtId="3" fontId="5" fillId="0" borderId="1" xfId="0" applyNumberFormat="1" applyFont="1" applyFill="1" applyBorder="1" applyAlignment="1">
      <alignment horizontal="right" vertical="center"/>
    </xf>
    <xf numFmtId="3" fontId="9" fillId="0" borderId="1" xfId="0" applyNumberFormat="1" applyFont="1" applyBorder="1" applyAlignment="1">
      <alignment vertical="center"/>
    </xf>
    <xf numFmtId="3" fontId="9" fillId="0" borderId="1" xfId="0" applyNumberFormat="1" applyFont="1" applyFill="1" applyBorder="1" applyAlignment="1">
      <alignment vertical="center"/>
    </xf>
    <xf numFmtId="0" fontId="0" fillId="0" borderId="1" xfId="0" applyFont="1" applyBorder="1"/>
    <xf numFmtId="0" fontId="0" fillId="0" borderId="1" xfId="0" applyFont="1" applyFill="1" applyBorder="1"/>
    <xf numFmtId="0" fontId="1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left" vertical="center" indent="5"/>
    </xf>
    <xf numFmtId="0" fontId="3" fillId="0" borderId="1" xfId="0" applyFont="1" applyFill="1" applyBorder="1"/>
    <xf numFmtId="0" fontId="0" fillId="0" borderId="1" xfId="0" applyFill="1" applyBorder="1"/>
    <xf numFmtId="3" fontId="0" fillId="0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O105"/>
  <sheetViews>
    <sheetView tabSelected="1" workbookViewId="0">
      <pane ySplit="3" topLeftCell="A28" activePane="bottomLeft" state="frozen"/>
      <selection pane="bottomLeft" activeCell="M61" sqref="M61"/>
    </sheetView>
  </sheetViews>
  <sheetFormatPr defaultRowHeight="14.5" x14ac:dyDescent="0.35"/>
  <cols>
    <col min="1" max="1" width="4.1796875" customWidth="1"/>
    <col min="2" max="2" width="68.7265625" customWidth="1"/>
    <col min="3" max="4" width="12.54296875" bestFit="1" customWidth="1"/>
    <col min="5" max="5" width="15.1796875" bestFit="1" customWidth="1"/>
    <col min="6" max="6" width="13.1796875" customWidth="1"/>
    <col min="7" max="7" width="13.453125" customWidth="1"/>
    <col min="8" max="8" width="15.1796875" customWidth="1"/>
    <col min="9" max="12" width="14.26953125" hidden="1" customWidth="1"/>
    <col min="13" max="13" width="116.7265625" bestFit="1" customWidth="1"/>
  </cols>
  <sheetData>
    <row r="1" spans="2:14" ht="15.5" x14ac:dyDescent="0.35">
      <c r="B1" s="55" t="s">
        <v>62</v>
      </c>
      <c r="C1" s="55"/>
      <c r="D1" s="55"/>
      <c r="E1" s="55"/>
      <c r="F1" s="55"/>
      <c r="G1" s="55"/>
      <c r="H1" s="55"/>
      <c r="I1" s="55"/>
      <c r="J1" s="55"/>
      <c r="K1" s="55"/>
      <c r="L1" s="55"/>
    </row>
    <row r="2" spans="2:14" x14ac:dyDescent="0.35">
      <c r="B2" s="1"/>
      <c r="H2" s="2"/>
    </row>
    <row r="3" spans="2:14" s="20" customFormat="1" ht="15.5" x14ac:dyDescent="0.35">
      <c r="B3" s="34" t="s">
        <v>0</v>
      </c>
      <c r="C3" s="35" t="s">
        <v>10</v>
      </c>
      <c r="D3" s="35" t="s">
        <v>11</v>
      </c>
      <c r="E3" s="35" t="s">
        <v>12</v>
      </c>
      <c r="F3" s="35" t="s">
        <v>13</v>
      </c>
      <c r="G3" s="35" t="s">
        <v>14</v>
      </c>
      <c r="H3" s="35" t="s">
        <v>15</v>
      </c>
      <c r="I3" s="35" t="s">
        <v>16</v>
      </c>
      <c r="J3" s="35" t="s">
        <v>17</v>
      </c>
      <c r="K3" s="35" t="s">
        <v>18</v>
      </c>
      <c r="L3" s="35" t="s">
        <v>19</v>
      </c>
      <c r="M3" s="49" t="s">
        <v>51</v>
      </c>
    </row>
    <row r="4" spans="2:14" ht="15.5" x14ac:dyDescent="0.35">
      <c r="B4" s="8" t="s">
        <v>5</v>
      </c>
      <c r="C4" s="3">
        <v>1108</v>
      </c>
      <c r="D4" s="3">
        <v>554</v>
      </c>
      <c r="E4" s="3">
        <v>689.61</v>
      </c>
      <c r="F4" s="3">
        <v>650.11</v>
      </c>
      <c r="G4" s="3">
        <v>742.05</v>
      </c>
      <c r="H4" s="3">
        <v>700</v>
      </c>
      <c r="I4" s="3">
        <v>700</v>
      </c>
      <c r="J4" s="3">
        <v>700</v>
      </c>
      <c r="K4" s="3">
        <v>700</v>
      </c>
      <c r="L4" s="3">
        <v>700</v>
      </c>
      <c r="M4" t="s">
        <v>23</v>
      </c>
    </row>
    <row r="5" spans="2:14" ht="15.5" x14ac:dyDescent="0.35">
      <c r="B5" s="8" t="s">
        <v>20</v>
      </c>
      <c r="C5" s="3">
        <v>238320</v>
      </c>
      <c r="D5" s="4">
        <v>241680</v>
      </c>
      <c r="E5" s="4">
        <v>241680</v>
      </c>
      <c r="F5" s="4">
        <v>240960</v>
      </c>
      <c r="G5" s="3">
        <f>(141*840)+(99*1200)+(2*2400)-1200</f>
        <v>240840</v>
      </c>
      <c r="H5" s="3">
        <f>(140*840)+(1200*100)+(2*2400)</f>
        <v>242400</v>
      </c>
      <c r="I5" s="40">
        <f>(140*1050)+(1500*100)+(2*3000)</f>
        <v>303000</v>
      </c>
      <c r="J5" s="40">
        <f t="shared" ref="J5:L5" si="0">(140*1050)+(1500*100)+(2*3000)</f>
        <v>303000</v>
      </c>
      <c r="K5" s="40">
        <f t="shared" si="0"/>
        <v>303000</v>
      </c>
      <c r="L5" s="40">
        <f t="shared" si="0"/>
        <v>303000</v>
      </c>
      <c r="M5" s="15" t="s">
        <v>58</v>
      </c>
    </row>
    <row r="6" spans="2:14" ht="15.5" x14ac:dyDescent="0.35">
      <c r="B6" s="8" t="s">
        <v>21</v>
      </c>
      <c r="C6" s="4">
        <v>7923</v>
      </c>
      <c r="D6" s="4">
        <v>9461</v>
      </c>
      <c r="E6" s="4">
        <v>9042.9</v>
      </c>
      <c r="F6" s="4">
        <v>9284.27</v>
      </c>
      <c r="G6" s="4">
        <f>6503.69+3252</f>
        <v>9755.6899999999987</v>
      </c>
      <c r="H6" s="4">
        <f t="shared" ref="H6:L6" si="1">6503.69+3252</f>
        <v>9755.6899999999987</v>
      </c>
      <c r="I6" s="4">
        <f t="shared" si="1"/>
        <v>9755.6899999999987</v>
      </c>
      <c r="J6" s="4">
        <f t="shared" si="1"/>
        <v>9755.6899999999987</v>
      </c>
      <c r="K6" s="4">
        <f t="shared" si="1"/>
        <v>9755.6899999999987</v>
      </c>
      <c r="L6" s="4">
        <f t="shared" si="1"/>
        <v>9755.6899999999987</v>
      </c>
      <c r="M6" t="s">
        <v>22</v>
      </c>
    </row>
    <row r="7" spans="2:14" ht="15.5" x14ac:dyDescent="0.35">
      <c r="B7" s="8" t="s">
        <v>6</v>
      </c>
      <c r="C7" s="4">
        <v>2700</v>
      </c>
      <c r="D7" s="4">
        <v>850</v>
      </c>
      <c r="E7" s="4">
        <v>1400</v>
      </c>
      <c r="F7" s="4">
        <v>4250</v>
      </c>
      <c r="G7" s="4">
        <v>3888</v>
      </c>
      <c r="H7" s="3"/>
      <c r="I7" s="3"/>
      <c r="J7" s="3"/>
      <c r="K7" s="3"/>
      <c r="L7" s="3"/>
      <c r="M7" s="15" t="s">
        <v>41</v>
      </c>
    </row>
    <row r="8" spans="2:14" s="20" customFormat="1" ht="15.5" x14ac:dyDescent="0.35">
      <c r="B8" s="34" t="s">
        <v>8</v>
      </c>
      <c r="C8" s="19">
        <v>250051</v>
      </c>
      <c r="D8" s="19">
        <v>252545</v>
      </c>
      <c r="E8" s="19">
        <f t="shared" ref="E8:G8" si="2">SUM(E4:E7)</f>
        <v>252812.50999999998</v>
      </c>
      <c r="F8" s="19">
        <f t="shared" si="2"/>
        <v>255144.37999999998</v>
      </c>
      <c r="G8" s="19">
        <f t="shared" si="2"/>
        <v>255225.74</v>
      </c>
      <c r="H8" s="19">
        <f>SUM(H4:H7)</f>
        <v>252855.69</v>
      </c>
      <c r="I8" s="19">
        <f t="shared" ref="I8:L8" si="3">SUM(I4:I7)</f>
        <v>313455.69</v>
      </c>
      <c r="J8" s="19">
        <f t="shared" si="3"/>
        <v>313455.69</v>
      </c>
      <c r="K8" s="19">
        <f t="shared" si="3"/>
        <v>313455.69</v>
      </c>
      <c r="L8" s="19">
        <f t="shared" si="3"/>
        <v>313455.69</v>
      </c>
    </row>
    <row r="9" spans="2:14" ht="15.5" x14ac:dyDescent="0.35">
      <c r="B9" s="8"/>
      <c r="C9" s="3"/>
      <c r="D9" s="3"/>
      <c r="E9" s="7"/>
      <c r="F9" s="3"/>
      <c r="G9" s="3"/>
      <c r="H9" s="3"/>
      <c r="I9" s="9"/>
      <c r="J9" s="9"/>
      <c r="K9" s="9"/>
      <c r="L9" s="9"/>
    </row>
    <row r="10" spans="2:14" s="20" customFormat="1" ht="15.5" x14ac:dyDescent="0.35">
      <c r="B10" s="34" t="s">
        <v>1</v>
      </c>
      <c r="C10" s="36"/>
      <c r="D10" s="36"/>
      <c r="E10" s="36"/>
      <c r="F10" s="36"/>
      <c r="G10" s="36"/>
      <c r="H10" s="36"/>
      <c r="I10" s="37"/>
      <c r="J10" s="37"/>
      <c r="K10" s="37"/>
      <c r="L10" s="37"/>
    </row>
    <row r="11" spans="2:14" ht="15.5" x14ac:dyDescent="0.35">
      <c r="B11" s="8" t="s">
        <v>24</v>
      </c>
      <c r="C11" s="39">
        <f>23575+70875-23201-12474</f>
        <v>58775</v>
      </c>
      <c r="D11" s="39">
        <f>23325+32025</f>
        <v>55350</v>
      </c>
      <c r="E11" s="40">
        <f>33175+27688</f>
        <v>60863</v>
      </c>
      <c r="F11" s="39">
        <f>23475+43738</f>
        <v>67213</v>
      </c>
      <c r="G11" s="39">
        <f>37850+73983-47058</f>
        <v>64775</v>
      </c>
      <c r="H11" s="50">
        <v>65000</v>
      </c>
      <c r="I11" s="50">
        <v>65000</v>
      </c>
      <c r="J11" s="50">
        <v>65000</v>
      </c>
      <c r="K11" s="50">
        <v>65000</v>
      </c>
      <c r="L11" s="50">
        <v>65000</v>
      </c>
      <c r="M11" t="s">
        <v>55</v>
      </c>
    </row>
    <row r="12" spans="2:14" ht="15.5" x14ac:dyDescent="0.35">
      <c r="B12" s="8" t="s">
        <v>54</v>
      </c>
      <c r="C12" s="39">
        <v>70956</v>
      </c>
      <c r="D12" s="39">
        <v>70956</v>
      </c>
      <c r="E12" s="39">
        <v>55432</v>
      </c>
      <c r="F12" s="39">
        <v>15125</v>
      </c>
      <c r="G12" s="39">
        <v>52700</v>
      </c>
      <c r="H12" s="39">
        <v>55000</v>
      </c>
      <c r="I12" s="39">
        <v>55000</v>
      </c>
      <c r="J12" s="39">
        <v>55000</v>
      </c>
      <c r="K12" s="39">
        <v>55000</v>
      </c>
      <c r="L12" s="39">
        <v>55000</v>
      </c>
      <c r="M12" t="s">
        <v>44</v>
      </c>
    </row>
    <row r="13" spans="2:14" ht="15.5" x14ac:dyDescent="0.35">
      <c r="B13" s="8" t="s">
        <v>26</v>
      </c>
      <c r="C13" s="39">
        <f>23201+12474</f>
        <v>35675</v>
      </c>
      <c r="D13" s="39"/>
      <c r="E13" s="39"/>
      <c r="F13" s="39"/>
      <c r="G13" s="39">
        <v>47058</v>
      </c>
      <c r="H13" s="39">
        <v>10000</v>
      </c>
      <c r="I13" s="39">
        <v>10000</v>
      </c>
      <c r="J13" s="39">
        <v>10000</v>
      </c>
      <c r="K13" s="39">
        <v>10000</v>
      </c>
      <c r="L13" s="39">
        <v>10000</v>
      </c>
      <c r="M13" t="s">
        <v>57</v>
      </c>
    </row>
    <row r="14" spans="2:14" ht="15.5" x14ac:dyDescent="0.35">
      <c r="B14" s="8" t="s">
        <v>2</v>
      </c>
      <c r="C14" s="4">
        <f>32642+869.5</f>
        <v>33511.5</v>
      </c>
      <c r="D14" s="4">
        <f>31217+1030</f>
        <v>32247</v>
      </c>
      <c r="E14" s="4">
        <f>26758+1115</f>
        <v>27873</v>
      </c>
      <c r="F14" s="4">
        <f>29728+1353.81</f>
        <v>31081.81</v>
      </c>
      <c r="G14" s="4">
        <f>8728.5+22100+265.35+1129.33</f>
        <v>32223.18</v>
      </c>
      <c r="H14" s="4">
        <v>32000</v>
      </c>
      <c r="I14" s="4">
        <v>32000</v>
      </c>
      <c r="J14" s="4">
        <v>32000</v>
      </c>
      <c r="K14" s="4">
        <v>32000</v>
      </c>
      <c r="L14" s="4">
        <v>32000</v>
      </c>
      <c r="M14" t="s">
        <v>42</v>
      </c>
    </row>
    <row r="15" spans="2:14" ht="15.5" x14ac:dyDescent="0.35">
      <c r="B15" s="8" t="s">
        <v>3</v>
      </c>
      <c r="C15" s="4">
        <v>9660</v>
      </c>
      <c r="D15" s="4">
        <v>9660</v>
      </c>
      <c r="E15" s="4">
        <v>11508.17</v>
      </c>
      <c r="F15" s="4">
        <v>11500</v>
      </c>
      <c r="G15" s="4">
        <v>11500</v>
      </c>
      <c r="H15" s="4">
        <v>11500</v>
      </c>
      <c r="I15" s="4">
        <v>11500</v>
      </c>
      <c r="J15" s="4">
        <v>11500</v>
      </c>
      <c r="K15" s="4">
        <v>11500</v>
      </c>
      <c r="L15" s="4">
        <v>11500</v>
      </c>
      <c r="M15" t="s">
        <v>25</v>
      </c>
    </row>
    <row r="16" spans="2:14" s="20" customFormat="1" ht="15.5" x14ac:dyDescent="0.35">
      <c r="B16" s="34" t="s">
        <v>9</v>
      </c>
      <c r="C16" s="19">
        <v>208578</v>
      </c>
      <c r="D16" s="19">
        <v>168213</v>
      </c>
      <c r="E16" s="19">
        <f t="shared" ref="E16:L16" si="4">SUM(E11:E15)</f>
        <v>155676.17000000001</v>
      </c>
      <c r="F16" s="19">
        <f t="shared" si="4"/>
        <v>124919.81</v>
      </c>
      <c r="G16" s="19">
        <f>SUM(G11:G15)</f>
        <v>208256.18</v>
      </c>
      <c r="H16" s="19">
        <f>SUM(H11:H15)</f>
        <v>173500</v>
      </c>
      <c r="I16" s="19">
        <f t="shared" si="4"/>
        <v>173500</v>
      </c>
      <c r="J16" s="19">
        <f t="shared" si="4"/>
        <v>173500</v>
      </c>
      <c r="K16" s="19">
        <f t="shared" si="4"/>
        <v>173500</v>
      </c>
      <c r="L16" s="19">
        <f t="shared" si="4"/>
        <v>173500</v>
      </c>
      <c r="M16" s="16"/>
      <c r="N16" s="16"/>
    </row>
    <row r="17" spans="2:15" ht="15.5" x14ac:dyDescent="0.35">
      <c r="B17" s="8"/>
      <c r="C17" s="3"/>
      <c r="D17" s="3"/>
      <c r="E17" s="7"/>
      <c r="F17" s="3"/>
      <c r="G17" s="3"/>
      <c r="H17" s="3"/>
      <c r="I17" s="9"/>
      <c r="J17" s="9"/>
      <c r="K17" s="11"/>
      <c r="L17" s="11"/>
      <c r="M17" s="2"/>
      <c r="N17" s="2"/>
    </row>
    <row r="18" spans="2:15" s="20" customFormat="1" ht="15.5" x14ac:dyDescent="0.35">
      <c r="B18" s="18" t="s">
        <v>38</v>
      </c>
      <c r="C18" s="36">
        <f>C8-C16</f>
        <v>41473</v>
      </c>
      <c r="D18" s="38">
        <f>D8-D16+1</f>
        <v>84333</v>
      </c>
      <c r="E18" s="38">
        <f>E8-E16</f>
        <v>97136.339999999967</v>
      </c>
      <c r="F18" s="38">
        <f>F8-F16</f>
        <v>130224.56999999998</v>
      </c>
      <c r="G18" s="36">
        <f>G8-G16</f>
        <v>46969.56</v>
      </c>
      <c r="H18" s="36">
        <f t="shared" ref="H18:L18" si="5">H8-H16</f>
        <v>79355.69</v>
      </c>
      <c r="I18" s="36">
        <f t="shared" si="5"/>
        <v>139955.69</v>
      </c>
      <c r="J18" s="36">
        <f t="shared" si="5"/>
        <v>139955.69</v>
      </c>
      <c r="K18" s="36">
        <f t="shared" si="5"/>
        <v>139955.69</v>
      </c>
      <c r="L18" s="36">
        <f t="shared" si="5"/>
        <v>139955.69</v>
      </c>
      <c r="M18" s="16"/>
      <c r="N18" s="16"/>
    </row>
    <row r="19" spans="2:15" s="33" customFormat="1" ht="15.5" x14ac:dyDescent="0.35">
      <c r="B19" s="8" t="s">
        <v>53</v>
      </c>
      <c r="C19" s="4">
        <v>39974</v>
      </c>
      <c r="D19" s="39">
        <v>82833</v>
      </c>
      <c r="E19" s="40">
        <v>95636</v>
      </c>
      <c r="F19" s="39">
        <v>128724.57</v>
      </c>
      <c r="G19" s="4">
        <v>45469.56</v>
      </c>
      <c r="H19" s="3">
        <f>H18-1500</f>
        <v>77855.69</v>
      </c>
      <c r="I19" s="3">
        <f t="shared" ref="I19:L19" si="6">I18-1500</f>
        <v>138455.69</v>
      </c>
      <c r="J19" s="3">
        <f t="shared" si="6"/>
        <v>138455.69</v>
      </c>
      <c r="K19" s="3">
        <f t="shared" si="6"/>
        <v>138455.69</v>
      </c>
      <c r="L19" s="3">
        <f t="shared" si="6"/>
        <v>138455.69</v>
      </c>
      <c r="M19" s="32"/>
      <c r="O19" s="32"/>
    </row>
    <row r="20" spans="2:15" s="33" customFormat="1" ht="15.5" x14ac:dyDescent="0.35">
      <c r="B20" s="8" t="s">
        <v>39</v>
      </c>
      <c r="C20" s="4">
        <v>1500</v>
      </c>
      <c r="D20" s="39">
        <v>1500</v>
      </c>
      <c r="E20" s="39">
        <v>1500</v>
      </c>
      <c r="F20" s="39">
        <v>1500</v>
      </c>
      <c r="G20" s="4">
        <v>1500</v>
      </c>
      <c r="H20" s="3">
        <v>1500</v>
      </c>
      <c r="I20" s="3">
        <v>1500</v>
      </c>
      <c r="J20" s="3">
        <v>1500</v>
      </c>
      <c r="K20" s="3">
        <v>1500</v>
      </c>
      <c r="L20" s="3">
        <v>1500</v>
      </c>
    </row>
    <row r="21" spans="2:15" ht="15.5" x14ac:dyDescent="0.35">
      <c r="B21" s="8"/>
      <c r="C21" s="3"/>
      <c r="D21" s="40"/>
      <c r="E21" s="39"/>
      <c r="F21" s="40"/>
      <c r="G21" s="3"/>
      <c r="H21" s="3"/>
      <c r="I21" s="9"/>
      <c r="J21" s="9"/>
      <c r="K21" s="9"/>
      <c r="L21" s="9"/>
    </row>
    <row r="22" spans="2:15" ht="15.5" x14ac:dyDescent="0.35">
      <c r="B22" s="12"/>
      <c r="C22" s="13"/>
      <c r="D22" s="41"/>
      <c r="E22" s="41"/>
      <c r="F22" s="41"/>
      <c r="G22" s="13"/>
      <c r="H22" s="13"/>
      <c r="I22" s="9"/>
      <c r="J22" s="9"/>
      <c r="K22" s="9"/>
      <c r="L22" s="11"/>
    </row>
    <row r="23" spans="2:15" ht="15.5" x14ac:dyDescent="0.35">
      <c r="B23" s="8"/>
      <c r="C23" s="13"/>
      <c r="D23" s="41"/>
      <c r="E23" s="41"/>
      <c r="F23" s="41"/>
      <c r="G23" s="13"/>
      <c r="H23" s="13"/>
      <c r="I23" s="9"/>
      <c r="J23" s="9"/>
      <c r="K23" s="9"/>
      <c r="L23" s="11"/>
    </row>
    <row r="24" spans="2:15" ht="15.5" x14ac:dyDescent="0.35">
      <c r="B24" s="34" t="s">
        <v>4</v>
      </c>
      <c r="C24" s="13"/>
      <c r="D24" s="41"/>
      <c r="E24" s="41"/>
      <c r="F24" s="41"/>
      <c r="G24" s="13"/>
      <c r="H24" s="13"/>
      <c r="I24" s="9"/>
      <c r="J24" s="9"/>
      <c r="K24" s="9"/>
      <c r="L24" s="9"/>
    </row>
    <row r="25" spans="2:15" ht="15.5" x14ac:dyDescent="0.35">
      <c r="B25" s="8"/>
      <c r="C25" s="13"/>
      <c r="D25" s="41"/>
      <c r="E25" s="41"/>
      <c r="F25" s="41"/>
      <c r="G25" s="13"/>
      <c r="H25" s="13"/>
      <c r="I25" s="9"/>
      <c r="J25" s="9"/>
      <c r="K25" s="9"/>
      <c r="L25" s="9"/>
    </row>
    <row r="26" spans="2:15" s="20" customFormat="1" ht="15.5" x14ac:dyDescent="0.35">
      <c r="B26" s="18" t="s">
        <v>27</v>
      </c>
      <c r="C26" s="51">
        <v>362681</v>
      </c>
      <c r="D26" s="44">
        <f>C29</f>
        <v>402655</v>
      </c>
      <c r="E26" s="44">
        <f>D29</f>
        <v>485488</v>
      </c>
      <c r="F26" s="44">
        <f>E29</f>
        <v>581124</v>
      </c>
      <c r="G26" s="23">
        <f>F29</f>
        <v>309847.57000000007</v>
      </c>
      <c r="H26" s="23">
        <v>355318</v>
      </c>
      <c r="I26" s="23">
        <f>H29</f>
        <v>287173.69</v>
      </c>
      <c r="J26" s="23">
        <f>I29</f>
        <v>187961.38</v>
      </c>
      <c r="K26" s="23">
        <f t="shared" ref="K26:L26" si="7">J29</f>
        <v>280417.07</v>
      </c>
      <c r="L26" s="23">
        <f t="shared" si="7"/>
        <v>372872.76</v>
      </c>
    </row>
    <row r="27" spans="2:15" s="33" customFormat="1" ht="15.5" x14ac:dyDescent="0.35">
      <c r="B27" s="8" t="s">
        <v>40</v>
      </c>
      <c r="C27" s="5">
        <v>39974</v>
      </c>
      <c r="D27" s="39">
        <v>82833</v>
      </c>
      <c r="E27" s="39">
        <f>E19</f>
        <v>95636</v>
      </c>
      <c r="F27" s="39">
        <f>F19</f>
        <v>128724.57</v>
      </c>
      <c r="G27" s="17">
        <v>45470</v>
      </c>
      <c r="H27" s="3">
        <f>H19</f>
        <v>77855.69</v>
      </c>
      <c r="I27" s="3">
        <f>I19</f>
        <v>138455.69</v>
      </c>
      <c r="J27" s="3">
        <f>J19</f>
        <v>138455.69</v>
      </c>
      <c r="K27" s="3">
        <f>K19</f>
        <v>138455.69</v>
      </c>
      <c r="L27" s="3">
        <f>L19</f>
        <v>138455.69</v>
      </c>
    </row>
    <row r="28" spans="2:15" s="33" customFormat="1" ht="15.5" x14ac:dyDescent="0.35">
      <c r="B28" s="8" t="s">
        <v>7</v>
      </c>
      <c r="C28" s="5">
        <v>0</v>
      </c>
      <c r="D28" s="39">
        <v>0</v>
      </c>
      <c r="E28" s="39">
        <v>0</v>
      </c>
      <c r="F28" s="39">
        <v>-400000</v>
      </c>
      <c r="G28" s="4">
        <v>0</v>
      </c>
      <c r="H28" s="3">
        <f>-46000-100000</f>
        <v>-146000</v>
      </c>
      <c r="I28" s="3">
        <f>-191668-46000</f>
        <v>-237668</v>
      </c>
      <c r="J28" s="3">
        <v>-46000</v>
      </c>
      <c r="K28" s="3">
        <v>-46000</v>
      </c>
      <c r="L28" s="3">
        <v>-46000</v>
      </c>
    </row>
    <row r="29" spans="2:15" s="20" customFormat="1" ht="15.5" x14ac:dyDescent="0.35">
      <c r="B29" s="18" t="s">
        <v>30</v>
      </c>
      <c r="C29" s="51">
        <f>C26+C27+C28</f>
        <v>402655</v>
      </c>
      <c r="D29" s="52">
        <f>D26+D27+D28</f>
        <v>485488</v>
      </c>
      <c r="E29" s="52">
        <f>E26+E27+E28</f>
        <v>581124</v>
      </c>
      <c r="F29" s="52">
        <f>F26+F27+F28-1</f>
        <v>309847.57000000007</v>
      </c>
      <c r="G29" s="23">
        <f>G26+G27+G28</f>
        <v>355317.57000000007</v>
      </c>
      <c r="H29" s="36">
        <f>H26+H27+H28</f>
        <v>287173.69</v>
      </c>
      <c r="I29" s="36">
        <f t="shared" ref="I29:L29" si="8">I26+I27+I28</f>
        <v>187961.38</v>
      </c>
      <c r="J29" s="36">
        <f t="shared" si="8"/>
        <v>280417.07</v>
      </c>
      <c r="K29" s="36">
        <f t="shared" si="8"/>
        <v>372872.76</v>
      </c>
      <c r="L29" s="36">
        <f t="shared" si="8"/>
        <v>465328.45</v>
      </c>
    </row>
    <row r="30" spans="2:15" ht="15.5" x14ac:dyDescent="0.35">
      <c r="B30" s="8"/>
      <c r="C30" s="6"/>
      <c r="D30" s="42"/>
      <c r="E30" s="42"/>
      <c r="F30" s="42"/>
      <c r="G30" s="7"/>
      <c r="H30" s="14"/>
      <c r="I30" s="9"/>
      <c r="J30" s="9"/>
      <c r="K30" s="9"/>
      <c r="L30" s="9"/>
    </row>
    <row r="31" spans="2:15" s="20" customFormat="1" ht="15.5" x14ac:dyDescent="0.35">
      <c r="B31" s="18" t="s">
        <v>56</v>
      </c>
      <c r="C31" s="51"/>
      <c r="D31" s="44"/>
      <c r="E31" s="44"/>
      <c r="F31" s="44">
        <v>0</v>
      </c>
      <c r="G31" s="23">
        <v>400000</v>
      </c>
      <c r="H31" s="36">
        <f>G34</f>
        <v>188332</v>
      </c>
      <c r="I31" s="36">
        <f>H34</f>
        <v>158332</v>
      </c>
      <c r="J31" s="37"/>
      <c r="K31" s="37"/>
      <c r="L31" s="37"/>
      <c r="M31" s="33" t="s">
        <v>60</v>
      </c>
    </row>
    <row r="32" spans="2:15" s="33" customFormat="1" ht="15.5" x14ac:dyDescent="0.35">
      <c r="B32" s="8" t="s">
        <v>32</v>
      </c>
      <c r="C32" s="5"/>
      <c r="D32" s="39"/>
      <c r="E32" s="39"/>
      <c r="F32" s="39">
        <v>400000</v>
      </c>
      <c r="G32" s="4">
        <v>0</v>
      </c>
      <c r="H32" s="3">
        <v>0</v>
      </c>
      <c r="I32" s="39">
        <f>350000-158332</f>
        <v>191668</v>
      </c>
      <c r="J32" s="53"/>
      <c r="K32" s="53"/>
      <c r="L32" s="53"/>
    </row>
    <row r="33" spans="2:13" s="33" customFormat="1" ht="15.5" x14ac:dyDescent="0.35">
      <c r="B33" s="8" t="s">
        <v>28</v>
      </c>
      <c r="C33" s="5"/>
      <c r="D33" s="4"/>
      <c r="E33" s="4"/>
      <c r="F33" s="4">
        <v>0</v>
      </c>
      <c r="G33" s="4">
        <v>-211668</v>
      </c>
      <c r="H33" s="40">
        <v>-30000</v>
      </c>
      <c r="I33" s="40">
        <v>-350000</v>
      </c>
      <c r="J33" s="54"/>
      <c r="K33" s="54"/>
      <c r="L33" s="54"/>
      <c r="M33" s="33" t="s">
        <v>59</v>
      </c>
    </row>
    <row r="34" spans="2:13" s="20" customFormat="1" ht="15.5" x14ac:dyDescent="0.35">
      <c r="B34" s="18" t="s">
        <v>30</v>
      </c>
      <c r="C34" s="37"/>
      <c r="D34" s="37"/>
      <c r="E34" s="23"/>
      <c r="F34" s="23">
        <f>F31+F33+F32</f>
        <v>400000</v>
      </c>
      <c r="G34" s="23">
        <f>G31+G33+G32</f>
        <v>188332</v>
      </c>
      <c r="H34" s="23">
        <f>H31+H33+H32</f>
        <v>158332</v>
      </c>
      <c r="I34" s="23">
        <f>I31+I33+I32</f>
        <v>0</v>
      </c>
      <c r="J34" s="37"/>
      <c r="K34" s="37"/>
      <c r="L34" s="37"/>
    </row>
    <row r="35" spans="2:13" s="33" customFormat="1" ht="15.5" x14ac:dyDescent="0.35">
      <c r="B35" s="8"/>
      <c r="C35" s="5"/>
      <c r="D35" s="4"/>
      <c r="E35" s="4"/>
      <c r="F35" s="4"/>
      <c r="G35" s="4"/>
      <c r="H35" s="4"/>
      <c r="I35" s="53"/>
      <c r="J35" s="53"/>
      <c r="K35" s="53"/>
      <c r="L35" s="53"/>
    </row>
    <row r="36" spans="2:13" s="20" customFormat="1" ht="15.5" x14ac:dyDescent="0.35">
      <c r="B36" s="18" t="s">
        <v>33</v>
      </c>
      <c r="C36" s="51"/>
      <c r="D36" s="23"/>
      <c r="E36" s="23"/>
      <c r="F36" s="23"/>
      <c r="G36" s="23"/>
      <c r="H36" s="23">
        <v>0</v>
      </c>
      <c r="I36" s="23">
        <f>H39</f>
        <v>46000</v>
      </c>
      <c r="J36" s="23">
        <f t="shared" ref="J36:L36" si="9">I39</f>
        <v>92000</v>
      </c>
      <c r="K36" s="23">
        <f t="shared" si="9"/>
        <v>138000</v>
      </c>
      <c r="L36" s="23">
        <f t="shared" si="9"/>
        <v>184000</v>
      </c>
    </row>
    <row r="37" spans="2:13" ht="15.5" x14ac:dyDescent="0.35">
      <c r="B37" s="8" t="s">
        <v>32</v>
      </c>
      <c r="C37" s="5"/>
      <c r="D37" s="4"/>
      <c r="E37" s="4"/>
      <c r="F37" s="4"/>
      <c r="G37" s="4"/>
      <c r="H37" s="4">
        <f>57500-11500</f>
        <v>46000</v>
      </c>
      <c r="I37" s="4">
        <f t="shared" ref="I37:L37" si="10">57500-11500</f>
        <v>46000</v>
      </c>
      <c r="J37" s="4">
        <f t="shared" si="10"/>
        <v>46000</v>
      </c>
      <c r="K37" s="4">
        <f t="shared" si="10"/>
        <v>46000</v>
      </c>
      <c r="L37" s="4">
        <f t="shared" si="10"/>
        <v>46000</v>
      </c>
      <c r="M37" t="s">
        <v>43</v>
      </c>
    </row>
    <row r="38" spans="2:13" ht="15.5" x14ac:dyDescent="0.35">
      <c r="B38" s="8" t="s">
        <v>28</v>
      </c>
      <c r="C38" s="5"/>
      <c r="D38" s="4"/>
      <c r="E38" s="4"/>
      <c r="F38" s="4"/>
      <c r="G38" s="4"/>
      <c r="H38" s="4">
        <v>0</v>
      </c>
      <c r="I38" s="4">
        <v>0</v>
      </c>
      <c r="J38" s="4">
        <v>0</v>
      </c>
      <c r="K38" s="4">
        <v>0</v>
      </c>
      <c r="L38" s="4">
        <v>0</v>
      </c>
      <c r="M38" t="s">
        <v>61</v>
      </c>
    </row>
    <row r="39" spans="2:13" s="20" customFormat="1" ht="15.5" x14ac:dyDescent="0.35">
      <c r="B39" s="18" t="s">
        <v>30</v>
      </c>
      <c r="C39" s="51"/>
      <c r="D39" s="23"/>
      <c r="E39" s="23"/>
      <c r="F39" s="23"/>
      <c r="G39" s="23"/>
      <c r="H39" s="23">
        <f>H36+H38+H37</f>
        <v>46000</v>
      </c>
      <c r="I39" s="23">
        <f t="shared" ref="I39:L39" si="11">I36+I38+I37</f>
        <v>92000</v>
      </c>
      <c r="J39" s="23">
        <f t="shared" si="11"/>
        <v>138000</v>
      </c>
      <c r="K39" s="23">
        <f t="shared" si="11"/>
        <v>184000</v>
      </c>
      <c r="L39" s="23">
        <f t="shared" si="11"/>
        <v>230000</v>
      </c>
    </row>
    <row r="40" spans="2:13" ht="15.5" x14ac:dyDescent="0.35">
      <c r="B40" s="8"/>
      <c r="C40" s="5"/>
      <c r="D40" s="4"/>
      <c r="E40" s="4"/>
      <c r="F40" s="4"/>
      <c r="G40" s="4"/>
      <c r="H40" s="4"/>
      <c r="I40" s="9"/>
      <c r="J40" s="9"/>
      <c r="K40" s="9"/>
      <c r="L40" s="9"/>
    </row>
    <row r="41" spans="2:13" s="20" customFormat="1" ht="15.5" x14ac:dyDescent="0.35">
      <c r="B41" s="18" t="s">
        <v>34</v>
      </c>
      <c r="C41" s="51"/>
      <c r="D41" s="23"/>
      <c r="E41" s="23"/>
      <c r="F41" s="23"/>
      <c r="G41" s="23"/>
      <c r="H41" s="23">
        <v>0</v>
      </c>
      <c r="I41" s="23">
        <v>0</v>
      </c>
      <c r="J41" s="23">
        <v>0</v>
      </c>
      <c r="K41" s="23">
        <v>0</v>
      </c>
      <c r="L41" s="23">
        <v>0</v>
      </c>
    </row>
    <row r="42" spans="2:13" ht="15.5" x14ac:dyDescent="0.35">
      <c r="B42" s="8" t="s">
        <v>32</v>
      </c>
      <c r="C42" s="5"/>
      <c r="D42" s="4"/>
      <c r="E42" s="4"/>
      <c r="F42" s="4"/>
      <c r="G42" s="4"/>
      <c r="H42" s="39">
        <v>100000</v>
      </c>
      <c r="I42" s="4">
        <v>0</v>
      </c>
      <c r="J42" s="4">
        <v>0</v>
      </c>
      <c r="K42" s="4">
        <v>0</v>
      </c>
      <c r="L42" s="4">
        <v>0</v>
      </c>
    </row>
    <row r="43" spans="2:13" ht="15.5" x14ac:dyDescent="0.35">
      <c r="B43" s="8" t="s">
        <v>28</v>
      </c>
      <c r="C43" s="5"/>
      <c r="D43" s="4"/>
      <c r="E43" s="4"/>
      <c r="F43" s="4"/>
      <c r="G43" s="4"/>
      <c r="H43" s="4">
        <v>-100000</v>
      </c>
      <c r="I43" s="4">
        <v>0</v>
      </c>
      <c r="J43" s="4">
        <v>0</v>
      </c>
      <c r="K43" s="4">
        <v>0</v>
      </c>
      <c r="L43" s="4">
        <v>0</v>
      </c>
    </row>
    <row r="44" spans="2:13" s="20" customFormat="1" ht="15.5" x14ac:dyDescent="0.35">
      <c r="B44" s="18" t="s">
        <v>30</v>
      </c>
      <c r="C44" s="51"/>
      <c r="D44" s="23"/>
      <c r="E44" s="23"/>
      <c r="F44" s="23"/>
      <c r="G44" s="23"/>
      <c r="H44" s="23">
        <v>0</v>
      </c>
      <c r="I44" s="23">
        <v>0</v>
      </c>
      <c r="J44" s="23">
        <v>0</v>
      </c>
      <c r="K44" s="23">
        <v>0</v>
      </c>
      <c r="L44" s="23">
        <v>0</v>
      </c>
    </row>
    <row r="45" spans="2:13" x14ac:dyDescent="0.35">
      <c r="B45" s="10"/>
      <c r="C45" s="21"/>
      <c r="D45" s="21"/>
      <c r="E45" s="21"/>
      <c r="F45" s="9"/>
      <c r="G45" s="9"/>
      <c r="H45" s="9"/>
      <c r="I45" s="9"/>
      <c r="J45" s="9"/>
      <c r="K45" s="9"/>
      <c r="L45" s="9"/>
    </row>
    <row r="46" spans="2:13" s="20" customFormat="1" ht="15.5" x14ac:dyDescent="0.35">
      <c r="B46" s="18" t="s">
        <v>29</v>
      </c>
      <c r="C46" s="19">
        <f>C29+C34+C39+C44</f>
        <v>402655</v>
      </c>
      <c r="D46" s="19">
        <f t="shared" ref="D46:E46" si="12">D29+D34+D39+D44</f>
        <v>485488</v>
      </c>
      <c r="E46" s="19">
        <f t="shared" si="12"/>
        <v>581124</v>
      </c>
      <c r="F46" s="19">
        <f>F29+F34</f>
        <v>709847.57000000007</v>
      </c>
      <c r="G46" s="19">
        <f>G29+G34</f>
        <v>543649.57000000007</v>
      </c>
      <c r="H46" s="19">
        <f>H29+H34+H39+H44</f>
        <v>491505.69</v>
      </c>
      <c r="I46" s="19">
        <f>I29+I34+I39+I44</f>
        <v>279961.38</v>
      </c>
      <c r="J46" s="19">
        <f t="shared" ref="J46:L46" si="13">J29+J34+J39+J44</f>
        <v>418417.07</v>
      </c>
      <c r="K46" s="19">
        <f t="shared" si="13"/>
        <v>556872.76</v>
      </c>
      <c r="L46" s="19">
        <f t="shared" si="13"/>
        <v>695328.45</v>
      </c>
      <c r="M46" s="16"/>
    </row>
    <row r="47" spans="2:13" x14ac:dyDescent="0.35">
      <c r="B47" s="10"/>
      <c r="C47" s="21"/>
      <c r="D47" s="21"/>
      <c r="E47" s="21"/>
      <c r="F47" s="9"/>
      <c r="G47" s="11"/>
      <c r="H47" s="11"/>
      <c r="I47" s="2"/>
      <c r="J47" s="2"/>
      <c r="K47" s="2"/>
      <c r="L47" s="2"/>
      <c r="M47" s="2"/>
    </row>
    <row r="48" spans="2:13" s="15" customFormat="1" x14ac:dyDescent="0.35">
      <c r="B48" s="56"/>
      <c r="C48" s="57"/>
      <c r="D48" s="57"/>
      <c r="E48" s="57"/>
      <c r="F48" s="58"/>
      <c r="G48" s="58"/>
      <c r="H48" s="59"/>
    </row>
    <row r="49" spans="2:13" s="26" customFormat="1" ht="15.5" x14ac:dyDescent="0.35">
      <c r="B49" s="43" t="s">
        <v>36</v>
      </c>
      <c r="C49" s="44">
        <v>502464.13</v>
      </c>
      <c r="D49" s="45">
        <v>578871.93999999994</v>
      </c>
      <c r="E49" s="45">
        <v>729288.57</v>
      </c>
      <c r="F49" s="45">
        <v>870366.91</v>
      </c>
      <c r="G49" s="45">
        <v>833902.48</v>
      </c>
      <c r="H49" s="45"/>
      <c r="I49" s="45"/>
      <c r="J49" s="45"/>
      <c r="K49" s="45"/>
      <c r="L49" s="45"/>
      <c r="M49" s="26">
        <f>211668-M48</f>
        <v>211668</v>
      </c>
    </row>
    <row r="50" spans="2:13" s="26" customFormat="1" ht="15.5" hidden="1" x14ac:dyDescent="0.35">
      <c r="B50" s="43"/>
      <c r="C50" s="44"/>
      <c r="D50" s="45"/>
      <c r="E50" s="45"/>
      <c r="F50" s="45"/>
      <c r="G50" s="45"/>
      <c r="H50" s="45"/>
      <c r="I50" s="45"/>
      <c r="J50" s="45"/>
      <c r="K50" s="45"/>
      <c r="L50" s="45"/>
    </row>
    <row r="51" spans="2:13" s="26" customFormat="1" ht="15.5" hidden="1" x14ac:dyDescent="0.35">
      <c r="B51" s="43"/>
      <c r="C51" s="44"/>
      <c r="D51" s="45"/>
      <c r="E51" s="45"/>
      <c r="F51" s="45"/>
      <c r="G51" s="45"/>
      <c r="H51" s="45"/>
      <c r="I51" s="45"/>
      <c r="J51" s="45"/>
      <c r="K51" s="45"/>
      <c r="L51" s="45"/>
    </row>
    <row r="52" spans="2:13" s="26" customFormat="1" ht="15.5" hidden="1" x14ac:dyDescent="0.35">
      <c r="B52" s="43"/>
      <c r="C52" s="44"/>
      <c r="D52" s="45"/>
      <c r="E52" s="45"/>
      <c r="F52" s="45"/>
      <c r="G52" s="45"/>
      <c r="H52" s="45"/>
      <c r="I52" s="45"/>
      <c r="J52" s="45"/>
      <c r="K52" s="45"/>
      <c r="L52" s="45"/>
    </row>
    <row r="53" spans="2:13" s="26" customFormat="1" ht="15.5" x14ac:dyDescent="0.35">
      <c r="B53" s="43" t="s">
        <v>35</v>
      </c>
      <c r="C53" s="44">
        <v>578871.93999999994</v>
      </c>
      <c r="D53" s="45">
        <v>729288.57</v>
      </c>
      <c r="E53" s="45">
        <v>870366.91</v>
      </c>
      <c r="F53" s="45">
        <v>833902.48</v>
      </c>
      <c r="G53" s="45">
        <v>674129.04</v>
      </c>
      <c r="H53" s="45"/>
      <c r="I53" s="45"/>
      <c r="J53" s="45"/>
      <c r="K53" s="45"/>
      <c r="L53" s="45"/>
      <c r="M53" s="26" t="s">
        <v>45</v>
      </c>
    </row>
    <row r="54" spans="2:13" s="26" customFormat="1" ht="15.5" hidden="1" x14ac:dyDescent="0.35">
      <c r="B54" s="24"/>
      <c r="C54" s="22">
        <f>C53-C49</f>
        <v>76407.809999999939</v>
      </c>
      <c r="D54" s="22">
        <f>D53-D49</f>
        <v>150416.63</v>
      </c>
      <c r="E54" s="22">
        <f>E53-E49</f>
        <v>141078.34000000008</v>
      </c>
      <c r="F54" s="22">
        <f>F53-F49</f>
        <v>-36464.430000000051</v>
      </c>
      <c r="G54" s="22">
        <f>G53-G49</f>
        <v>-159773.43999999994</v>
      </c>
      <c r="H54" s="22"/>
      <c r="I54" s="22"/>
      <c r="J54" s="22"/>
      <c r="K54" s="22"/>
      <c r="L54" s="22"/>
    </row>
    <row r="55" spans="2:13" s="26" customFormat="1" ht="15.5" x14ac:dyDescent="0.35">
      <c r="B55" s="24"/>
      <c r="C55" s="25"/>
      <c r="D55" s="22"/>
      <c r="E55" s="22"/>
      <c r="F55" s="22"/>
      <c r="G55" s="22"/>
      <c r="H55" s="22"/>
      <c r="I55" s="22"/>
      <c r="J55" s="22"/>
      <c r="K55" s="22"/>
      <c r="L55" s="22"/>
    </row>
    <row r="56" spans="2:13" s="26" customFormat="1" ht="15.5" x14ac:dyDescent="0.35">
      <c r="B56" s="47" t="s">
        <v>52</v>
      </c>
      <c r="C56" s="25"/>
      <c r="D56" s="22"/>
      <c r="E56" s="22"/>
      <c r="F56" s="22"/>
      <c r="G56" s="22"/>
      <c r="H56" s="22"/>
      <c r="I56" s="22"/>
      <c r="J56" s="22"/>
      <c r="K56" s="22"/>
      <c r="L56" s="22"/>
    </row>
    <row r="57" spans="2:13" s="26" customFormat="1" ht="15.5" x14ac:dyDescent="0.35">
      <c r="B57" s="48" t="s">
        <v>46</v>
      </c>
      <c r="C57" s="25"/>
      <c r="D57" s="22"/>
      <c r="E57" s="22"/>
      <c r="F57" s="22"/>
      <c r="G57" s="46">
        <v>23000</v>
      </c>
      <c r="H57" s="22"/>
      <c r="I57" s="22"/>
      <c r="J57" s="22"/>
      <c r="K57" s="22"/>
      <c r="L57" s="22"/>
    </row>
    <row r="58" spans="2:13" s="26" customFormat="1" ht="15.5" x14ac:dyDescent="0.35">
      <c r="B58" s="48" t="s">
        <v>47</v>
      </c>
      <c r="C58" s="25"/>
      <c r="D58" s="22"/>
      <c r="E58" s="22"/>
      <c r="F58" s="22"/>
      <c r="G58" s="46">
        <v>4750</v>
      </c>
      <c r="H58" s="22"/>
      <c r="I58" s="22"/>
      <c r="J58" s="22"/>
      <c r="K58" s="22"/>
      <c r="L58" s="22"/>
    </row>
    <row r="59" spans="2:13" s="26" customFormat="1" ht="15.5" x14ac:dyDescent="0.35">
      <c r="B59" s="48" t="s">
        <v>37</v>
      </c>
      <c r="D59" s="22"/>
      <c r="E59" s="22"/>
      <c r="F59" s="22"/>
      <c r="G59" s="46">
        <v>1500</v>
      </c>
      <c r="H59" s="22"/>
      <c r="I59" s="22"/>
      <c r="J59" s="22"/>
      <c r="K59" s="22"/>
      <c r="L59" s="22"/>
    </row>
    <row r="60" spans="2:13" s="26" customFormat="1" ht="15.5" x14ac:dyDescent="0.35">
      <c r="B60" s="48" t="s">
        <v>48</v>
      </c>
      <c r="D60" s="22"/>
      <c r="E60" s="22"/>
      <c r="F60" s="22"/>
      <c r="G60" s="46">
        <v>100029.38</v>
      </c>
      <c r="H60" s="22"/>
      <c r="I60" s="22"/>
      <c r="J60" s="22"/>
      <c r="K60" s="22"/>
      <c r="L60" s="22"/>
    </row>
    <row r="61" spans="2:13" s="26" customFormat="1" ht="15.5" x14ac:dyDescent="0.35">
      <c r="B61" s="48" t="s">
        <v>49</v>
      </c>
      <c r="D61" s="22"/>
      <c r="E61" s="22"/>
      <c r="F61" s="22"/>
      <c r="G61" s="46">
        <v>355317.66</v>
      </c>
      <c r="H61" s="22"/>
      <c r="I61" s="22"/>
      <c r="J61" s="22"/>
      <c r="K61" s="22"/>
      <c r="L61" s="22"/>
    </row>
    <row r="62" spans="2:13" s="26" customFormat="1" ht="15.5" x14ac:dyDescent="0.35">
      <c r="B62" s="48" t="s">
        <v>31</v>
      </c>
      <c r="D62" s="22"/>
      <c r="E62" s="22"/>
      <c r="F62" s="22"/>
      <c r="G62" s="46">
        <v>188332</v>
      </c>
      <c r="H62" s="22"/>
      <c r="I62" s="22"/>
      <c r="J62" s="22"/>
      <c r="K62" s="22"/>
      <c r="L62" s="22"/>
    </row>
    <row r="63" spans="2:13" s="26" customFormat="1" ht="15.5" x14ac:dyDescent="0.35">
      <c r="B63" s="48" t="s">
        <v>50</v>
      </c>
      <c r="D63" s="22"/>
      <c r="E63" s="22"/>
      <c r="F63" s="22"/>
      <c r="G63" s="46">
        <v>1200</v>
      </c>
      <c r="H63" s="22"/>
      <c r="I63" s="22"/>
      <c r="J63" s="22"/>
      <c r="K63" s="22"/>
      <c r="L63" s="22"/>
    </row>
    <row r="64" spans="2:13" s="26" customFormat="1" ht="15.5" x14ac:dyDescent="0.35">
      <c r="B64" s="24"/>
      <c r="D64" s="22"/>
      <c r="E64" s="22"/>
      <c r="F64" s="22"/>
      <c r="G64" s="22">
        <f>SUM(G57:G63)</f>
        <v>674129.04</v>
      </c>
      <c r="H64" s="22"/>
      <c r="I64" s="22"/>
      <c r="J64" s="22"/>
      <c r="K64" s="22"/>
      <c r="L64" s="22"/>
    </row>
    <row r="65" spans="2:13" s="26" customFormat="1" ht="15.5" x14ac:dyDescent="0.35">
      <c r="B65" s="24"/>
      <c r="D65" s="22"/>
      <c r="E65" s="22"/>
      <c r="F65" s="22"/>
      <c r="G65" s="22"/>
      <c r="H65" s="22"/>
      <c r="I65" s="22"/>
      <c r="J65" s="22"/>
      <c r="K65" s="22"/>
      <c r="L65" s="22"/>
    </row>
    <row r="66" spans="2:13" s="26" customFormat="1" ht="15.5" x14ac:dyDescent="0.35">
      <c r="B66" s="24"/>
      <c r="D66" s="22"/>
      <c r="E66" s="22"/>
      <c r="F66" s="22"/>
      <c r="G66" s="22"/>
      <c r="H66" s="22"/>
      <c r="I66" s="22"/>
      <c r="J66" s="22"/>
      <c r="K66" s="22"/>
      <c r="L66" s="22"/>
    </row>
    <row r="67" spans="2:13" s="20" customFormat="1" ht="15.5" x14ac:dyDescent="0.35">
      <c r="B67" s="24"/>
      <c r="C67" s="26"/>
      <c r="D67" s="22"/>
      <c r="E67" s="22"/>
      <c r="F67" s="22"/>
      <c r="G67" s="22"/>
      <c r="H67" s="22"/>
      <c r="I67" s="22"/>
      <c r="J67" s="22"/>
      <c r="K67" s="22"/>
      <c r="L67" s="22"/>
      <c r="M67" s="26"/>
    </row>
    <row r="68" spans="2:13" s="20" customFormat="1" ht="15.5" x14ac:dyDescent="0.35">
      <c r="B68" s="24"/>
      <c r="C68" s="26"/>
      <c r="D68" s="22"/>
      <c r="E68" s="22"/>
      <c r="F68" s="22"/>
      <c r="G68" s="22"/>
      <c r="H68" s="22"/>
      <c r="I68" s="22"/>
      <c r="J68" s="22"/>
      <c r="K68" s="22"/>
      <c r="L68" s="22"/>
      <c r="M68" s="26"/>
    </row>
    <row r="69" spans="2:13" s="20" customFormat="1" ht="15.5" x14ac:dyDescent="0.35">
      <c r="B69" s="24"/>
      <c r="C69" s="26"/>
      <c r="D69" s="22"/>
      <c r="E69" s="22"/>
      <c r="F69" s="22"/>
      <c r="G69" s="22"/>
      <c r="H69" s="22"/>
      <c r="I69" s="22"/>
      <c r="J69" s="22"/>
      <c r="K69" s="22"/>
      <c r="L69" s="22"/>
      <c r="M69" s="26"/>
    </row>
    <row r="70" spans="2:13" s="20" customFormat="1" ht="15.5" x14ac:dyDescent="0.35">
      <c r="B70" s="24"/>
      <c r="C70" s="26"/>
      <c r="D70" s="22"/>
      <c r="E70" s="22"/>
      <c r="F70" s="22"/>
      <c r="G70" s="22"/>
      <c r="H70" s="22"/>
      <c r="I70" s="22"/>
      <c r="J70" s="22"/>
      <c r="K70" s="22"/>
      <c r="L70" s="22"/>
      <c r="M70" s="26"/>
    </row>
    <row r="71" spans="2:13" s="20" customFormat="1" ht="15.5" x14ac:dyDescent="0.35">
      <c r="B71" s="24"/>
      <c r="C71" s="26"/>
      <c r="D71" s="22"/>
      <c r="E71" s="22"/>
      <c r="F71" s="22"/>
      <c r="G71" s="22"/>
      <c r="H71" s="22"/>
      <c r="I71" s="22"/>
      <c r="J71" s="22"/>
      <c r="K71" s="22"/>
      <c r="L71" s="22"/>
      <c r="M71" s="26"/>
    </row>
    <row r="72" spans="2:13" s="20" customFormat="1" ht="15.5" x14ac:dyDescent="0.35">
      <c r="B72" s="24"/>
      <c r="C72" s="26"/>
      <c r="D72" s="22"/>
      <c r="E72" s="22"/>
      <c r="F72" s="22"/>
      <c r="G72" s="22"/>
      <c r="H72" s="22"/>
      <c r="I72" s="22"/>
      <c r="J72" s="22"/>
      <c r="K72" s="22"/>
      <c r="L72" s="22"/>
      <c r="M72" s="26"/>
    </row>
    <row r="73" spans="2:13" s="20" customFormat="1" ht="15.5" x14ac:dyDescent="0.35">
      <c r="B73" s="24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6"/>
    </row>
    <row r="74" spans="2:13" s="20" customFormat="1" ht="15.5" x14ac:dyDescent="0.35">
      <c r="B74" s="24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6"/>
    </row>
    <row r="75" spans="2:13" s="20" customFormat="1" ht="15.5" x14ac:dyDescent="0.35">
      <c r="B75" s="24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6"/>
    </row>
    <row r="76" spans="2:13" s="20" customFormat="1" ht="15.5" x14ac:dyDescent="0.35">
      <c r="B76" s="24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6"/>
    </row>
    <row r="77" spans="2:13" s="20" customFormat="1" ht="15.5" x14ac:dyDescent="0.35">
      <c r="B77" s="24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6"/>
    </row>
    <row r="78" spans="2:13" s="20" customFormat="1" ht="15.5" x14ac:dyDescent="0.35">
      <c r="B78" s="24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6"/>
    </row>
    <row r="79" spans="2:13" s="20" customFormat="1" ht="15.5" x14ac:dyDescent="0.35"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6"/>
    </row>
    <row r="80" spans="2:13" s="20" customFormat="1" ht="15.5" x14ac:dyDescent="0.35">
      <c r="B80" s="24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6"/>
    </row>
    <row r="81" spans="2:13" s="20" customFormat="1" ht="15.5" x14ac:dyDescent="0.35">
      <c r="B81" s="24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6"/>
    </row>
    <row r="82" spans="2:13" s="20" customFormat="1" ht="15.5" x14ac:dyDescent="0.35">
      <c r="B82" s="24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6"/>
    </row>
    <row r="83" spans="2:13" s="20" customFormat="1" ht="15.5" x14ac:dyDescent="0.35">
      <c r="B83" s="24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6"/>
    </row>
    <row r="84" spans="2:13" s="20" customFormat="1" ht="15.5" x14ac:dyDescent="0.35">
      <c r="B84" s="24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6"/>
    </row>
    <row r="85" spans="2:13" s="20" customFormat="1" ht="15.5" x14ac:dyDescent="0.35">
      <c r="B85" s="24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6"/>
    </row>
    <row r="86" spans="2:13" s="20" customFormat="1" ht="15.5" x14ac:dyDescent="0.35">
      <c r="B86" s="24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6"/>
    </row>
    <row r="87" spans="2:13" s="20" customFormat="1" ht="15.5" x14ac:dyDescent="0.35">
      <c r="B87" s="24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6"/>
    </row>
    <row r="88" spans="2:13" s="20" customFormat="1" ht="15.5" x14ac:dyDescent="0.35">
      <c r="B88" s="24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6"/>
    </row>
    <row r="89" spans="2:13" s="20" customFormat="1" ht="15.5" x14ac:dyDescent="0.35">
      <c r="B89" s="24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6"/>
    </row>
    <row r="90" spans="2:13" s="20" customFormat="1" ht="15.5" x14ac:dyDescent="0.35">
      <c r="B90" s="24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6"/>
    </row>
    <row r="91" spans="2:13" s="20" customFormat="1" ht="15.5" x14ac:dyDescent="0.35">
      <c r="B91" s="24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6"/>
    </row>
    <row r="92" spans="2:13" s="20" customFormat="1" ht="15.5" x14ac:dyDescent="0.35">
      <c r="B92" s="24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6"/>
    </row>
    <row r="93" spans="2:13" s="20" customFormat="1" ht="15.5" x14ac:dyDescent="0.35">
      <c r="B93" s="24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6"/>
    </row>
    <row r="94" spans="2:13" s="20" customFormat="1" ht="15.5" x14ac:dyDescent="0.35">
      <c r="B94" s="24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6"/>
    </row>
    <row r="95" spans="2:13" x14ac:dyDescent="0.35">
      <c r="B95" s="27"/>
      <c r="C95" s="28"/>
      <c r="D95" s="28"/>
      <c r="E95" s="28"/>
      <c r="F95" s="15"/>
      <c r="G95" s="15"/>
      <c r="H95" s="29"/>
      <c r="I95" s="15"/>
      <c r="J95" s="15"/>
      <c r="K95" s="15"/>
      <c r="L95" s="15"/>
      <c r="M95" s="15"/>
    </row>
    <row r="96" spans="2:13" x14ac:dyDescent="0.35"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</row>
    <row r="97" spans="2:13" x14ac:dyDescent="0.35">
      <c r="B97" s="27"/>
      <c r="C97" s="28"/>
      <c r="D97" s="28"/>
      <c r="E97" s="28"/>
      <c r="F97" s="15"/>
      <c r="G97" s="15"/>
      <c r="H97" s="15"/>
      <c r="I97" s="15"/>
      <c r="J97" s="15"/>
      <c r="K97" s="15"/>
      <c r="L97" s="15"/>
      <c r="M97" s="15"/>
    </row>
    <row r="98" spans="2:13" x14ac:dyDescent="0.35">
      <c r="B98" s="27"/>
      <c r="C98" s="28"/>
      <c r="D98" s="28"/>
      <c r="E98" s="28"/>
      <c r="F98" s="15"/>
      <c r="G98" s="15"/>
      <c r="H98" s="15"/>
      <c r="I98" s="15"/>
      <c r="J98" s="15"/>
      <c r="K98" s="15"/>
      <c r="L98" s="15"/>
      <c r="M98" s="15"/>
    </row>
    <row r="99" spans="2:13" x14ac:dyDescent="0.35">
      <c r="B99" s="27"/>
      <c r="C99" s="30"/>
      <c r="D99" s="28"/>
      <c r="E99" s="28"/>
      <c r="F99" s="15"/>
      <c r="G99" s="15"/>
      <c r="H99" s="15"/>
      <c r="I99" s="15"/>
      <c r="J99" s="15"/>
      <c r="K99" s="15"/>
      <c r="L99" s="15"/>
      <c r="M99" s="15"/>
    </row>
    <row r="100" spans="2:13" x14ac:dyDescent="0.35">
      <c r="B100" s="27"/>
      <c r="C100" s="28"/>
      <c r="D100" s="28"/>
      <c r="E100" s="28"/>
      <c r="F100" s="15"/>
      <c r="G100" s="15"/>
      <c r="H100" s="15"/>
      <c r="I100" s="15"/>
      <c r="J100" s="15"/>
      <c r="K100" s="15"/>
      <c r="L100" s="15"/>
      <c r="M100" s="15"/>
    </row>
    <row r="101" spans="2:13" x14ac:dyDescent="0.35">
      <c r="B101" s="27"/>
      <c r="C101" s="28"/>
      <c r="D101" s="28"/>
      <c r="E101" s="28"/>
      <c r="F101" s="15"/>
      <c r="G101" s="15"/>
      <c r="H101" s="15"/>
      <c r="I101" s="15"/>
      <c r="J101" s="15"/>
      <c r="K101" s="15"/>
      <c r="L101" s="15"/>
      <c r="M101" s="15"/>
    </row>
    <row r="102" spans="2:13" x14ac:dyDescent="0.35">
      <c r="B102" s="15"/>
      <c r="C102" s="31"/>
      <c r="D102" s="31"/>
      <c r="E102" s="31"/>
      <c r="F102" s="31"/>
      <c r="G102" s="31"/>
      <c r="H102" s="31"/>
      <c r="I102" s="31"/>
      <c r="J102" s="31"/>
      <c r="K102" s="31"/>
      <c r="L102" s="31"/>
      <c r="M102" s="15"/>
    </row>
    <row r="103" spans="2:13" x14ac:dyDescent="0.35">
      <c r="B103" s="15"/>
      <c r="C103" s="31"/>
      <c r="D103" s="31"/>
      <c r="E103" s="31"/>
      <c r="F103" s="31"/>
      <c r="G103" s="31"/>
      <c r="H103" s="31"/>
      <c r="I103" s="31"/>
      <c r="J103" s="31"/>
      <c r="K103" s="31"/>
      <c r="L103" s="31"/>
      <c r="M103" s="15"/>
    </row>
    <row r="104" spans="2:13" x14ac:dyDescent="0.35"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</row>
    <row r="105" spans="2:13" x14ac:dyDescent="0.35">
      <c r="B105" s="15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</row>
  </sheetData>
  <mergeCells count="1">
    <mergeCell ref="B1:L1"/>
  </mergeCells>
  <phoneticPr fontId="7" type="noConversion"/>
  <pageMargins left="0.7" right="0.7" top="0.75" bottom="0.75" header="0.3" footer="0.3"/>
  <pageSetup paperSize="9" scale="63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Ekonomisk sammanställning</vt:lpstr>
      <vt:lpstr>'Ekonomisk sammanställning'!OLE_LINK1</vt:lpstr>
      <vt:lpstr>'Ekonomisk sammanställning'!Print_Area</vt:lpstr>
    </vt:vector>
  </TitlesOfParts>
  <Company>Outokumpu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Camilla Lindskog</dc:creator>
  <cp:lastModifiedBy>Camilla Lindskog</cp:lastModifiedBy>
  <cp:lastPrinted>2020-05-12T18:27:54Z</cp:lastPrinted>
  <dcterms:created xsi:type="dcterms:W3CDTF">2014-05-08T07:18:53Z</dcterms:created>
  <dcterms:modified xsi:type="dcterms:W3CDTF">2020-05-12T19:20:01Z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</Properties>
</file>